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7238" yWindow="625" windowWidth="22958" windowHeight="14889"/>
  </bookViews>
  <sheets>
    <sheet name="Foglio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0" i="1" l="1"/>
  <c r="K99" i="1"/>
  <c r="K98" i="1"/>
  <c r="K97" i="1"/>
  <c r="J90" i="1"/>
  <c r="J89" i="1"/>
  <c r="I84" i="1"/>
  <c r="I78" i="1"/>
  <c r="I55" i="1"/>
  <c r="I17" i="1"/>
  <c r="I9" i="1"/>
  <c r="I54" i="1"/>
  <c r="I40" i="1"/>
  <c r="I34" i="1"/>
  <c r="I32" i="1"/>
  <c r="I47" i="1" s="1"/>
  <c r="I27" i="1"/>
  <c r="I23" i="1"/>
  <c r="I20" i="1"/>
  <c r="I4" i="1"/>
  <c r="I16" i="1"/>
  <c r="I12" i="1"/>
  <c r="I8" i="1"/>
  <c r="I3" i="1"/>
  <c r="J103" i="1" l="1"/>
  <c r="J104" i="1"/>
  <c r="I51" i="1"/>
</calcChain>
</file>

<file path=xl/sharedStrings.xml><?xml version="1.0" encoding="utf-8"?>
<sst xmlns="http://schemas.openxmlformats.org/spreadsheetml/2006/main" count="202" uniqueCount="185">
  <si>
    <t>Glicemia</t>
  </si>
  <si>
    <t>Colesterolo totale</t>
  </si>
  <si>
    <t>Colesterolo HDL</t>
  </si>
  <si>
    <t>Insulina</t>
  </si>
  <si>
    <t>Età</t>
  </si>
  <si>
    <t>Peso</t>
  </si>
  <si>
    <t>Altezza</t>
  </si>
  <si>
    <t>Circonferenza vita</t>
  </si>
  <si>
    <t>Dati iniziali</t>
  </si>
  <si>
    <t>Dati derivati</t>
  </si>
  <si>
    <t>Homa-IR</t>
  </si>
  <si>
    <t>anni</t>
  </si>
  <si>
    <t>kg</t>
  </si>
  <si>
    <t>cm</t>
  </si>
  <si>
    <t>mg/dl</t>
  </si>
  <si>
    <t>mmoli/l</t>
  </si>
  <si>
    <t>Valori di riferimento</t>
  </si>
  <si>
    <t>0,22-2,4 (media: 1,21)</t>
  </si>
  <si>
    <t>fino a  8-10 anni: 0,2-3,4</t>
  </si>
  <si>
    <t>Indice Quicki</t>
  </si>
  <si>
    <t>Homa-β (%)</t>
  </si>
  <si>
    <t xml:space="preserve">se &lt; 0,34 </t>
  </si>
  <si>
    <t>insulinoresistenza</t>
  </si>
  <si>
    <t>se &lt; 0,30</t>
  </si>
  <si>
    <t>diabete</t>
  </si>
  <si>
    <t>Insu-TAG</t>
  </si>
  <si>
    <t>1/{Log(Insulina) + Log[Glucosio(mg/dl)]}</t>
  </si>
  <si>
    <t>μU/ml o mU/l</t>
  </si>
  <si>
    <t>Trigliceridi</t>
  </si>
  <si>
    <t>valore borderline: 11,2</t>
  </si>
  <si>
    <t>TyG Index</t>
  </si>
  <si>
    <t>{ln[trigliceridi (mg/dl) x glicemia (mg/dl)]}/2</t>
  </si>
  <si>
    <t>valore borderline: 4,3</t>
  </si>
  <si>
    <t>Trig./HDL</t>
  </si>
  <si>
    <t>Trigliceridi (mg/dl) / Colesterolo HDL (mg/dl)</t>
  </si>
  <si>
    <t>riferimento: 1,1 - 1,8</t>
  </si>
  <si>
    <t>riferimento: &lt;100%</t>
  </si>
  <si>
    <r>
      <rPr>
        <b/>
        <sz val="12"/>
        <color theme="1"/>
        <rFont val="Calibri"/>
        <family val="2"/>
        <scheme val="minor"/>
      </rPr>
      <t>HOMA-IR</t>
    </r>
    <r>
      <rPr>
        <sz val="12"/>
        <color theme="1"/>
        <rFont val="Calibri"/>
        <family val="2"/>
        <scheme val="minor"/>
      </rPr>
      <t>: stima numerica quantitativa sulla resistenza insulinica, buono per studi epidemiologici, da valutare con altri parametri. Non attendibile dopo aver fumato o attività fisica</t>
    </r>
  </si>
  <si>
    <r>
      <rPr>
        <b/>
        <sz val="12"/>
        <color theme="1"/>
        <rFont val="Calibri"/>
        <family val="2"/>
        <scheme val="minor"/>
      </rPr>
      <t>HOMA-β</t>
    </r>
    <r>
      <rPr>
        <sz val="12"/>
        <color theme="1"/>
        <rFont val="Calibri"/>
        <family val="2"/>
        <scheme val="minor"/>
      </rPr>
      <t>: funzionalità delle cellule β-pancreatiche</t>
    </r>
  </si>
  <si>
    <r>
      <rPr>
        <b/>
        <sz val="12"/>
        <color theme="1"/>
        <rFont val="Calibri"/>
        <family val="2"/>
        <scheme val="minor"/>
      </rPr>
      <t>Indice Quicki</t>
    </r>
    <r>
      <rPr>
        <sz val="12"/>
        <color theme="1"/>
        <rFont val="Calibri"/>
        <family val="2"/>
        <scheme val="minor"/>
      </rPr>
      <t>: stima quantitativa della sensibilità insulinica</t>
    </r>
  </si>
  <si>
    <r>
      <t>Insu-TAG</t>
    </r>
    <r>
      <rPr>
        <sz val="12"/>
        <color theme="1"/>
        <rFont val="Calibri"/>
        <family val="2"/>
        <scheme val="minor"/>
      </rPr>
      <t>: resistenza insulinica e sindrome metabolica</t>
    </r>
  </si>
  <si>
    <r>
      <rPr>
        <b/>
        <sz val="12"/>
        <color theme="1"/>
        <rFont val="Calibri"/>
        <family val="2"/>
        <scheme val="minor"/>
      </rPr>
      <t>Tyg Index</t>
    </r>
    <r>
      <rPr>
        <sz val="12"/>
        <color theme="1"/>
        <rFont val="Calibri"/>
        <family val="2"/>
        <scheme val="minor"/>
      </rPr>
      <t>: insulino-resistenza e sindrome metabolica, può essere usato come indice di rigidezza delle arterie e come predittore dell'incidenza della NAFLD</t>
    </r>
  </si>
  <si>
    <t>Resistenza insulinica</t>
  </si>
  <si>
    <r>
      <rPr>
        <b/>
        <sz val="12"/>
        <color theme="1"/>
        <rFont val="Calibri"/>
        <family val="2"/>
        <scheme val="minor"/>
      </rPr>
      <t>Rapporto Trigliceridi/HDL</t>
    </r>
    <r>
      <rPr>
        <sz val="12"/>
        <color theme="1"/>
        <rFont val="Calibri"/>
        <family val="2"/>
        <scheme val="minor"/>
      </rPr>
      <t>: insulino-resistenza, anche in soggetti obesi, nel sovrappeso pediatrico e cancro-correlata, è un marker di rischio per DM2</t>
    </r>
  </si>
  <si>
    <t>Dislipidemia</t>
  </si>
  <si>
    <t>CRI-I</t>
  </si>
  <si>
    <t>riferimento &lt; 4</t>
  </si>
  <si>
    <t>se &gt; 6 alto rischio di CVD</t>
  </si>
  <si>
    <t>nei diabetici, meglio l'indici AIP</t>
  </si>
  <si>
    <r>
      <t>20*insulinemia/ [glicemia (</t>
    </r>
    <r>
      <rPr>
        <b/>
        <sz val="12"/>
        <color theme="1"/>
        <rFont val="Calibri"/>
        <family val="2"/>
        <scheme val="minor"/>
      </rPr>
      <t>mmoli/l</t>
    </r>
    <r>
      <rPr>
        <sz val="12"/>
        <color theme="1"/>
        <rFont val="Calibri"/>
        <family val="2"/>
        <scheme val="minor"/>
      </rPr>
      <t>)-3,5]</t>
    </r>
  </si>
  <si>
    <r>
      <t>20*insulinemia/ {[glicemia (</t>
    </r>
    <r>
      <rPr>
        <b/>
        <sz val="12"/>
        <color theme="1"/>
        <rFont val="Calibri"/>
        <family val="2"/>
        <scheme val="minor"/>
      </rPr>
      <t>mg/dl</t>
    </r>
    <r>
      <rPr>
        <sz val="12"/>
        <color theme="1"/>
        <rFont val="Calibri"/>
        <family val="2"/>
        <scheme val="minor"/>
      </rPr>
      <t>)*0,0555]-3,5}</t>
    </r>
  </si>
  <si>
    <r>
      <t>[Glicemia (</t>
    </r>
    <r>
      <rPr>
        <b/>
        <sz val="12"/>
        <color theme="1"/>
        <rFont val="Calibri"/>
        <family val="2"/>
        <scheme val="minor"/>
      </rPr>
      <t>mg/ml</t>
    </r>
    <r>
      <rPr>
        <sz val="12"/>
        <color theme="1"/>
        <rFont val="Calibri"/>
        <family val="2"/>
        <scheme val="minor"/>
      </rPr>
      <t>) x Insulinemia]/405</t>
    </r>
  </si>
  <si>
    <r>
      <t>[Glicemia (</t>
    </r>
    <r>
      <rPr>
        <b/>
        <sz val="12"/>
        <color theme="1"/>
        <rFont val="Calibri"/>
        <family val="2"/>
        <scheme val="minor"/>
      </rPr>
      <t>mmoli/l</t>
    </r>
    <r>
      <rPr>
        <sz val="12"/>
        <color theme="1"/>
        <rFont val="Calibri"/>
        <family val="2"/>
        <scheme val="minor"/>
      </rPr>
      <t>) x Insulinemia]/22,5</t>
    </r>
  </si>
  <si>
    <r>
      <t>Insulina x Trigliceridi (</t>
    </r>
    <r>
      <rPr>
        <b/>
        <sz val="12"/>
        <color theme="1"/>
        <rFont val="Calibri"/>
        <family val="2"/>
        <scheme val="minor"/>
      </rPr>
      <t>mmoli/l</t>
    </r>
    <r>
      <rPr>
        <sz val="12"/>
        <color theme="1"/>
        <rFont val="Calibri"/>
        <family val="2"/>
        <scheme val="minor"/>
      </rPr>
      <t>)</t>
    </r>
  </si>
  <si>
    <r>
      <t>Insulina x Trigliceridi (</t>
    </r>
    <r>
      <rPr>
        <b/>
        <sz val="12"/>
        <color theme="1"/>
        <rFont val="Calibri"/>
        <family val="2"/>
        <scheme val="minor"/>
      </rPr>
      <t>mg/dl</t>
    </r>
    <r>
      <rPr>
        <sz val="12"/>
        <color theme="1"/>
        <rFont val="Calibri"/>
        <family val="2"/>
        <scheme val="minor"/>
      </rPr>
      <t>) x 0,0113</t>
    </r>
  </si>
  <si>
    <t>Colesterolo TOT (mg/dl) / HDL (mg/dl)</t>
  </si>
  <si>
    <t>Colesterolo TOT (mg/dl) - HDL (mg/dl) - [Trig. (mg/dl) / 5]</t>
  </si>
  <si>
    <t>LDL (trig. &lt;250</t>
  </si>
  <si>
    <t>LDL (trig. &gt;250</t>
  </si>
  <si>
    <t>Colesterolo TOT (mg/dl) - HDL (mg/dl) - [Trig. (mg/dl) / 6,85]</t>
  </si>
  <si>
    <t>nonHDL</t>
  </si>
  <si>
    <t>ottimale</t>
  </si>
  <si>
    <t>quasi ottim.</t>
  </si>
  <si>
    <t>elevato</t>
  </si>
  <si>
    <t>&lt;100</t>
  </si>
  <si>
    <t>100-129</t>
  </si>
  <si>
    <t>&gt;129</t>
  </si>
  <si>
    <t>colesterolo TOT (mg/dl) - colesterolo HDL (mg/dl)</t>
  </si>
  <si>
    <t>ideale</t>
  </si>
  <si>
    <t>quasi ideale</t>
  </si>
  <si>
    <t>130-159</t>
  </si>
  <si>
    <t>&lt;100-130</t>
  </si>
  <si>
    <t>borderline</t>
  </si>
  <si>
    <t>160-189</t>
  </si>
  <si>
    <t>alto</t>
  </si>
  <si>
    <t>190-220</t>
  </si>
  <si>
    <t>molto alto</t>
  </si>
  <si>
    <t>&gt;220</t>
  </si>
  <si>
    <r>
      <rPr>
        <b/>
        <sz val="12"/>
        <color theme="1"/>
        <rFont val="Calibri"/>
        <family val="2"/>
        <scheme val="minor"/>
      </rPr>
      <t>CRI-I Castelli Risk Index-I</t>
    </r>
    <r>
      <rPr>
        <sz val="12"/>
        <color theme="1"/>
        <rFont val="Calibri"/>
        <family val="2"/>
        <scheme val="minor"/>
      </rPr>
      <t>: incidenza rischio CVD, nei diabetici è meglio usare AIP</t>
    </r>
  </si>
  <si>
    <r>
      <t>Non-HDL</t>
    </r>
    <r>
      <rPr>
        <sz val="12"/>
        <color theme="1"/>
        <rFont val="Calibri"/>
        <family val="2"/>
        <scheme val="minor"/>
      </rPr>
      <t>: migliore utilità per identificazione precoce di soggetti ad alto rischio di CVD</t>
    </r>
  </si>
  <si>
    <t>AI (CRI-II)</t>
  </si>
  <si>
    <t>LDL (mg/dl) / HDL (mg/dl)</t>
  </si>
  <si>
    <t>desiderabile</t>
  </si>
  <si>
    <t>&lt;2,5</t>
  </si>
  <si>
    <t>alto rischio</t>
  </si>
  <si>
    <t>&gt;3.8</t>
  </si>
  <si>
    <r>
      <rPr>
        <b/>
        <sz val="12"/>
        <color theme="1"/>
        <rFont val="Calibri"/>
        <family val="2"/>
        <scheme val="minor"/>
      </rPr>
      <t>AI (CRI-II) Atherogenic Index</t>
    </r>
    <r>
      <rPr>
        <sz val="12"/>
        <color theme="1"/>
        <rFont val="Calibri"/>
        <family val="2"/>
        <scheme val="minor"/>
      </rPr>
      <t>: tiene conto anche delle VLDL</t>
    </r>
  </si>
  <si>
    <t>TRL-C</t>
  </si>
  <si>
    <t>nonHDL (mg/dl) - LDL (mg/dl)</t>
  </si>
  <si>
    <t>25-35</t>
  </si>
  <si>
    <r>
      <rPr>
        <b/>
        <sz val="12"/>
        <color theme="1"/>
        <rFont val="Calibri"/>
        <family val="2"/>
        <scheme val="minor"/>
      </rPr>
      <t>TRL-C Trigliceride-Rich Lipoprotein Colesterol</t>
    </r>
    <r>
      <rPr>
        <sz val="12"/>
        <color theme="1"/>
        <rFont val="Calibri"/>
        <family val="2"/>
        <scheme val="minor"/>
      </rPr>
      <t>: associato a aumento di CVD</t>
    </r>
  </si>
  <si>
    <t>AIP</t>
  </si>
  <si>
    <t>low risk</t>
  </si>
  <si>
    <t>&lt;0.11</t>
  </si>
  <si>
    <t>moderate</t>
  </si>
  <si>
    <t>0.11-0.21</t>
  </si>
  <si>
    <t>high risk</t>
  </si>
  <si>
    <t>&gt;0.21</t>
  </si>
  <si>
    <t>fonte per la formula: https://www.evidencio.com/models/show/1141</t>
  </si>
  <si>
    <r>
      <t>AIP Atherogenic Index of Plasma</t>
    </r>
    <r>
      <rPr>
        <sz val="12"/>
        <color theme="1"/>
        <rFont val="Calibri"/>
        <family val="2"/>
        <scheme val="minor"/>
      </rPr>
      <t>: buona correlazione CVD, aterosclerosi e patologie coronariche, correlato alla dimensione delle particelle di lipoproteine aterogeniche, utile misura di risposta al trattamento farmacologico</t>
    </r>
  </si>
  <si>
    <t>BMI</t>
  </si>
  <si>
    <t>kg/m^2</t>
  </si>
  <si>
    <t>conversione</t>
  </si>
  <si>
    <t xml:space="preserve">conversione </t>
  </si>
  <si>
    <r>
      <t xml:space="preserve">Log[trigliceridi </t>
    </r>
    <r>
      <rPr>
        <b/>
        <sz val="12"/>
        <color theme="1"/>
        <rFont val="Calibri"/>
        <family val="2"/>
        <scheme val="minor"/>
      </rPr>
      <t>(mmol/l)</t>
    </r>
    <r>
      <rPr>
        <sz val="12"/>
        <color theme="1"/>
        <rFont val="Calibri"/>
        <family val="2"/>
        <scheme val="minor"/>
      </rPr>
      <t xml:space="preserve">/HDL </t>
    </r>
    <r>
      <rPr>
        <b/>
        <sz val="12"/>
        <color theme="1"/>
        <rFont val="Calibri"/>
        <family val="2"/>
        <scheme val="minor"/>
      </rPr>
      <t>(mmol/l</t>
    </r>
    <r>
      <rPr>
        <sz val="12"/>
        <color theme="1"/>
        <rFont val="Calibri"/>
        <family val="2"/>
        <scheme val="minor"/>
      </rPr>
      <t>)]</t>
    </r>
  </si>
  <si>
    <r>
      <t xml:space="preserve">Log{[Tigliceridi </t>
    </r>
    <r>
      <rPr>
        <b/>
        <sz val="12"/>
        <color theme="1"/>
        <rFont val="Calibri"/>
        <family val="2"/>
        <scheme val="minor"/>
      </rPr>
      <t>(mg/dl)</t>
    </r>
    <r>
      <rPr>
        <sz val="12"/>
        <color theme="1"/>
        <rFont val="Calibri"/>
        <family val="2"/>
        <scheme val="minor"/>
      </rPr>
      <t xml:space="preserve"> * 0.0113]/[HDL </t>
    </r>
    <r>
      <rPr>
        <b/>
        <sz val="12"/>
        <color theme="1"/>
        <rFont val="Calibri"/>
        <family val="2"/>
        <scheme val="minor"/>
      </rPr>
      <t>(mg/dl)</t>
    </r>
    <r>
      <rPr>
        <sz val="12"/>
        <color theme="1"/>
        <rFont val="Calibri"/>
        <family val="2"/>
        <scheme val="minor"/>
      </rPr>
      <t xml:space="preserve"> * 0.0259]}</t>
    </r>
  </si>
  <si>
    <t>Uomini</t>
  </si>
  <si>
    <t>Donne</t>
  </si>
  <si>
    <r>
      <t>VAI Visceral Adiposity Index</t>
    </r>
    <r>
      <rPr>
        <sz val="12"/>
        <color theme="1"/>
        <rFont val="Calibri"/>
        <family val="2"/>
        <scheme val="minor"/>
      </rPr>
      <t>: buona correlazione con CVD, DM2 e SM</t>
    </r>
  </si>
  <si>
    <t>Malnutrizione per difetto</t>
  </si>
  <si>
    <t>ICA - CHI</t>
  </si>
  <si>
    <t>Creatininuria 24 h</t>
  </si>
  <si>
    <t>mg/24h</t>
  </si>
  <si>
    <t>Creatininuria</t>
  </si>
  <si>
    <t>conversione (1500 ml)</t>
  </si>
  <si>
    <t xml:space="preserve">Creatininuria 24h ideale </t>
  </si>
  <si>
    <t xml:space="preserve">Altezza cm </t>
  </si>
  <si>
    <t xml:space="preserve">Uomo </t>
  </si>
  <si>
    <t xml:space="preserve">Donna </t>
  </si>
  <si>
    <t>Creatininuria 24h / Creatininuria ideale</t>
  </si>
  <si>
    <t>Normale</t>
  </si>
  <si>
    <t>&gt;90%</t>
  </si>
  <si>
    <t>Malnutrizione lieve</t>
  </si>
  <si>
    <t>80-89%</t>
  </si>
  <si>
    <t>Malnutrizione media</t>
  </si>
  <si>
    <t>60-79%</t>
  </si>
  <si>
    <t>Malnutrizione grave</t>
  </si>
  <si>
    <t>&lt;60%</t>
  </si>
  <si>
    <r>
      <t>ICA-CHI indice di creatinina / altezza</t>
    </r>
    <r>
      <rPr>
        <sz val="12"/>
        <color theme="1"/>
        <rFont val="Calibri"/>
        <family val="2"/>
        <scheme val="minor"/>
      </rPr>
      <t>: deplezione proteica e indicazioni sull'assetto muscolare. Può rappresentare una stima della massa magra</t>
    </r>
  </si>
  <si>
    <t>INA</t>
  </si>
  <si>
    <t>calcolatore online</t>
  </si>
  <si>
    <t>https://www.medicalalgorithms.com/instant-nutritional-assessment</t>
  </si>
  <si>
    <r>
      <rPr>
        <b/>
        <sz val="12"/>
        <color theme="1"/>
        <rFont val="Calibri"/>
        <family val="2"/>
        <scheme val="minor"/>
      </rPr>
      <t>INA Instant Nutritional Assessment</t>
    </r>
    <r>
      <rPr>
        <sz val="12"/>
        <color theme="1"/>
        <rFont val="Calibri"/>
        <family val="2"/>
        <scheme val="minor"/>
      </rPr>
      <t>: screening rapido sulla determinazione di albumina e linfociti per la valutazione iniziale dello stato nutrizionale</t>
    </r>
  </si>
  <si>
    <t>Albumina</t>
  </si>
  <si>
    <t>g/l</t>
  </si>
  <si>
    <t>peso abituale</t>
  </si>
  <si>
    <t>NRI</t>
  </si>
  <si>
    <t>[1,52 * Albumina (g/l)]+{41,7*[peso attuale (kg)/ peso abituale (kg)]}</t>
  </si>
  <si>
    <t>&gt;100</t>
  </si>
  <si>
    <t>Medio</t>
  </si>
  <si>
    <t>97,5-100</t>
  </si>
  <si>
    <t>Moderato</t>
  </si>
  <si>
    <t>83,5-97,4</t>
  </si>
  <si>
    <t>Severo</t>
  </si>
  <si>
    <t>&lt;83,5</t>
  </si>
  <si>
    <r>
      <rPr>
        <b/>
        <sz val="12"/>
        <color theme="1"/>
        <rFont val="Calibri"/>
        <family val="2"/>
        <scheme val="minor"/>
      </rPr>
      <t>NRI Nutritinal Risk Index</t>
    </r>
    <r>
      <rPr>
        <sz val="12"/>
        <color theme="1"/>
        <rFont val="Calibri"/>
        <family val="2"/>
        <scheme val="minor"/>
      </rPr>
      <t>: screening rapido. Il peso abituale è quello stabile da sei mesi prima della determinazione</t>
    </r>
  </si>
  <si>
    <t>Creatininemia</t>
  </si>
  <si>
    <t>Urine in 24 h</t>
  </si>
  <si>
    <t>ml</t>
  </si>
  <si>
    <t>[Creatininuria (mg/dl) * Urine 24h (ml)/{[1440 (min) * Creatininemia (mg/dl)]}</t>
  </si>
  <si>
    <t>CC (ml/min)</t>
  </si>
  <si>
    <r>
      <t xml:space="preserve">Formula </t>
    </r>
    <r>
      <rPr>
        <b/>
        <sz val="10"/>
        <color theme="1"/>
        <rFont val="Calibri"/>
        <family val="2"/>
        <scheme val="minor"/>
      </rPr>
      <t>da inserire</t>
    </r>
    <r>
      <rPr>
        <sz val="10"/>
        <color theme="1"/>
        <rFont val="Calibri"/>
        <family val="2"/>
        <scheme val="minor"/>
      </rPr>
      <t xml:space="preserve"> nella cella qui sotto senza virgolette: "=B16*E17/X" con il valore della C. in mg/dl e, eventualmente, cambiando il valore di conversione se il volume finale è diverso da 1500 ml; "=B17/X" con il valore in mg/24h; sostituire X con la cella del valore ideale per sesso e altezza qui a fianco</t>
    </r>
  </si>
  <si>
    <t>85-135 ml/min</t>
  </si>
  <si>
    <t>80-125 ml/min</t>
  </si>
  <si>
    <t>CC stimata</t>
  </si>
  <si>
    <t>{(140-età)*[peso (kg)]}/[72*Creatininemia (mg/dl)]</t>
  </si>
  <si>
    <t>{(140-età)*[peso (kg)]}/[72*Creatininemia (mg/dl)]*0,85</t>
  </si>
  <si>
    <t>Equazione di Cockroft-Gault</t>
  </si>
  <si>
    <t>Velocità di filtrazione glomerulare stimata-VFGs (eGFR)</t>
  </si>
  <si>
    <r>
      <t>CC Clearance della Creatininemia e CC stimata</t>
    </r>
    <r>
      <rPr>
        <sz val="12"/>
        <color theme="1"/>
        <rFont val="Calibri"/>
        <family val="2"/>
        <scheme val="minor"/>
      </rPr>
      <t>: danno renale</t>
    </r>
  </si>
  <si>
    <t>CKD-EPI VFG</t>
  </si>
  <si>
    <r>
      <t>e-GFR</t>
    </r>
    <r>
      <rPr>
        <sz val="12"/>
        <color theme="1"/>
        <rFont val="Calibri"/>
        <family val="2"/>
        <scheme val="minor"/>
      </rPr>
      <t>: velocità di filtrazione glomerulare. Stimata con tre equazioni diverse: CKD-EPI; sMDRD; Cockroft-Gault norm.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Danno renale migliore di CC</t>
    </r>
  </si>
  <si>
    <t>https://www.kidney.org/professionals/kdoqi/gfr_calculator</t>
  </si>
  <si>
    <t>calcolatore pediatrico</t>
  </si>
  <si>
    <t>https://www.kidney.org/professionals/kdoqi/gfr_calculatorPed</t>
  </si>
  <si>
    <t>sMDRD VGF</t>
  </si>
  <si>
    <t>uomini bianchi</t>
  </si>
  <si>
    <t>donne bianche</t>
  </si>
  <si>
    <t>uomini neri</t>
  </si>
  <si>
    <t>donne nere</t>
  </si>
  <si>
    <t>{186*[Serum creat. (mg/dl)^-1,154]*[età^0,203]*K1*k2}</t>
  </si>
  <si>
    <t>K1</t>
  </si>
  <si>
    <t>K2</t>
  </si>
  <si>
    <t>uomo: 1</t>
  </si>
  <si>
    <t>fonte: https://www.ncbi.nlm.nih.gov/pmc/articles/PMC3997536/</t>
  </si>
  <si>
    <t>donna: 0,742</t>
  </si>
  <si>
    <t>bianco: 1</t>
  </si>
  <si>
    <t>nero: 1,212</t>
  </si>
  <si>
    <t>Cockroft-Gault norm. VFG</t>
  </si>
  <si>
    <t>uomini</t>
  </si>
  <si>
    <t>donne</t>
  </si>
  <si>
    <t>[(140-età)*peso ideale]/[72*creatininemia (mg/dl)</t>
  </si>
  <si>
    <t>{[(140-età)*peso ideale]/[72*creatininemia (mg/dl)}*0,85</t>
  </si>
  <si>
    <t>peso ideale = BMI * {[altezza (m)]^2}</t>
  </si>
  <si>
    <t>Reni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</si>
</sst>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" xfId="0" applyFill="1" applyBorder="1"/>
    <xf numFmtId="0" fontId="0" fillId="0" borderId="6" xfId="0" applyFill="1" applyBorder="1"/>
    <xf numFmtId="2" fontId="0" fillId="0" borderId="0" xfId="0" applyNumberFormat="1"/>
    <xf numFmtId="0" fontId="0" fillId="0" borderId="5" xfId="0" applyBorder="1"/>
    <xf numFmtId="0" fontId="0" fillId="0" borderId="15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>
      <alignment vertical="center" wrapText="1"/>
    </xf>
    <xf numFmtId="0" fontId="0" fillId="0" borderId="1" xfId="0" applyFont="1" applyBorder="1" applyAlignment="1"/>
    <xf numFmtId="0" fontId="3" fillId="0" borderId="1" xfId="0" applyFont="1" applyBorder="1" applyAlignment="1"/>
    <xf numFmtId="0" fontId="0" fillId="0" borderId="0" xfId="0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1" xfId="1" applyBorder="1" applyAlignment="1">
      <alignment horizontal="center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dicalalgorithms.com/instant-nutritional-assessment" TargetMode="External"/><Relationship Id="rId2" Type="http://schemas.openxmlformats.org/officeDocument/2006/relationships/hyperlink" Target="https://www.kidney.org/professionals/kdoqi/gfr_calculator" TargetMode="External"/><Relationship Id="rId1" Type="http://schemas.openxmlformats.org/officeDocument/2006/relationships/hyperlink" Target="https://www.kidney.org/professionals/kdoqi/gfr_calculatorP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zoomScale="120" zoomScaleNormal="120" workbookViewId="0">
      <selection activeCell="G15" sqref="G15"/>
    </sheetView>
  </sheetViews>
  <sheetFormatPr defaultColWidth="11.5546875" defaultRowHeight="16.3" x14ac:dyDescent="0.3"/>
  <cols>
    <col min="1" max="1" width="15.6640625" bestFit="1" customWidth="1"/>
    <col min="3" max="3" width="13.77734375" customWidth="1"/>
  </cols>
  <sheetData>
    <row r="1" spans="1:14" x14ac:dyDescent="0.3">
      <c r="A1" s="59" t="s">
        <v>8</v>
      </c>
      <c r="B1" s="59"/>
      <c r="C1" s="59"/>
      <c r="D1" s="3"/>
      <c r="E1" s="1"/>
      <c r="F1" s="2"/>
      <c r="H1" s="59" t="s">
        <v>9</v>
      </c>
      <c r="I1" s="59"/>
      <c r="J1" s="59"/>
      <c r="K1" s="59"/>
      <c r="L1" s="59"/>
      <c r="M1" s="59"/>
      <c r="N1" s="59"/>
    </row>
    <row r="2" spans="1:14" x14ac:dyDescent="0.3">
      <c r="A2" t="s">
        <v>4</v>
      </c>
      <c r="C2" t="s">
        <v>11</v>
      </c>
      <c r="H2" s="59" t="s">
        <v>42</v>
      </c>
      <c r="I2" s="59"/>
      <c r="J2" s="59"/>
      <c r="K2" s="59"/>
      <c r="L2" s="59"/>
      <c r="M2" s="59"/>
      <c r="N2" s="59"/>
    </row>
    <row r="3" spans="1:14" x14ac:dyDescent="0.3">
      <c r="A3" t="s">
        <v>5</v>
      </c>
      <c r="C3" t="s">
        <v>12</v>
      </c>
      <c r="H3" s="42" t="s">
        <v>10</v>
      </c>
      <c r="I3" s="13">
        <f>B6*B14/405</f>
        <v>0</v>
      </c>
      <c r="J3" s="42" t="s">
        <v>51</v>
      </c>
      <c r="K3" s="42"/>
      <c r="L3" s="42"/>
      <c r="M3" s="42"/>
      <c r="N3" s="42"/>
    </row>
    <row r="4" spans="1:14" ht="16" customHeight="1" x14ac:dyDescent="0.3">
      <c r="A4" t="s">
        <v>6</v>
      </c>
      <c r="C4" t="s">
        <v>13</v>
      </c>
      <c r="H4" s="42"/>
      <c r="I4" s="14">
        <f>B7*B14/22.5</f>
        <v>0</v>
      </c>
      <c r="J4" s="42" t="s">
        <v>52</v>
      </c>
      <c r="K4" s="42"/>
      <c r="L4" s="42"/>
      <c r="M4" s="42"/>
      <c r="N4" s="42"/>
    </row>
    <row r="5" spans="1:14" x14ac:dyDescent="0.3">
      <c r="A5" t="s">
        <v>7</v>
      </c>
      <c r="C5" t="s">
        <v>13</v>
      </c>
      <c r="H5" s="87"/>
      <c r="I5" s="86"/>
      <c r="J5" s="94" t="s">
        <v>16</v>
      </c>
      <c r="K5" s="93"/>
      <c r="L5" s="41" t="s">
        <v>17</v>
      </c>
      <c r="M5" s="41"/>
      <c r="N5" s="41"/>
    </row>
    <row r="6" spans="1:14" ht="16" customHeight="1" x14ac:dyDescent="0.3">
      <c r="A6" s="82" t="s">
        <v>0</v>
      </c>
      <c r="C6" t="s">
        <v>14</v>
      </c>
      <c r="H6" s="87"/>
      <c r="I6" s="88"/>
      <c r="J6" s="94"/>
      <c r="K6" s="93"/>
      <c r="L6" s="41" t="s">
        <v>18</v>
      </c>
      <c r="M6" s="41"/>
      <c r="N6" s="41"/>
    </row>
    <row r="7" spans="1:14" ht="16" customHeight="1" x14ac:dyDescent="0.3">
      <c r="A7" s="82"/>
      <c r="C7" t="s">
        <v>15</v>
      </c>
      <c r="D7" t="s">
        <v>103</v>
      </c>
      <c r="E7">
        <v>5.5500000000000001E-2</v>
      </c>
      <c r="H7" s="6"/>
      <c r="J7" s="5"/>
      <c r="K7" s="5"/>
      <c r="L7" s="1"/>
      <c r="M7" s="1"/>
      <c r="N7" s="1"/>
    </row>
    <row r="8" spans="1:14" x14ac:dyDescent="0.3">
      <c r="A8" s="82" t="s">
        <v>1</v>
      </c>
      <c r="C8" t="s">
        <v>14</v>
      </c>
      <c r="H8" s="42" t="s">
        <v>20</v>
      </c>
      <c r="I8" s="13">
        <f>(20*B14)/(B7-3.5)</f>
        <v>0</v>
      </c>
      <c r="J8" s="93" t="s">
        <v>49</v>
      </c>
      <c r="K8" s="93"/>
      <c r="L8" s="93"/>
      <c r="M8" s="93"/>
      <c r="N8" s="93"/>
    </row>
    <row r="9" spans="1:14" x14ac:dyDescent="0.3">
      <c r="A9" s="82"/>
      <c r="C9" t="s">
        <v>15</v>
      </c>
      <c r="D9" t="s">
        <v>102</v>
      </c>
      <c r="E9">
        <v>2.5899999999999999E-2</v>
      </c>
      <c r="H9" s="42"/>
      <c r="I9" s="13">
        <f>(20*B14)/((B6*E7)-3.5)</f>
        <v>0</v>
      </c>
      <c r="J9" s="93" t="s">
        <v>50</v>
      </c>
      <c r="K9" s="93"/>
      <c r="L9" s="93"/>
      <c r="M9" s="93"/>
      <c r="N9" s="93"/>
    </row>
    <row r="10" spans="1:14" x14ac:dyDescent="0.3">
      <c r="A10" s="82" t="s">
        <v>2</v>
      </c>
      <c r="C10" t="s">
        <v>14</v>
      </c>
      <c r="H10" s="6"/>
      <c r="I10" s="7"/>
      <c r="J10" s="95" t="s">
        <v>36</v>
      </c>
      <c r="K10" s="95"/>
      <c r="L10" s="95"/>
      <c r="M10" s="95"/>
      <c r="N10" s="95"/>
    </row>
    <row r="11" spans="1:14" x14ac:dyDescent="0.3">
      <c r="A11" s="82"/>
      <c r="C11" t="s">
        <v>15</v>
      </c>
      <c r="D11" t="s">
        <v>102</v>
      </c>
      <c r="E11">
        <v>2.5899999999999999E-2</v>
      </c>
    </row>
    <row r="12" spans="1:14" x14ac:dyDescent="0.3">
      <c r="A12" s="82" t="s">
        <v>28</v>
      </c>
      <c r="C12" t="s">
        <v>14</v>
      </c>
      <c r="H12" s="42" t="s">
        <v>19</v>
      </c>
      <c r="I12" s="97" t="e">
        <f>1/(LOG(B14)+LOG(B6))</f>
        <v>#NUM!</v>
      </c>
      <c r="J12" s="86" t="s">
        <v>26</v>
      </c>
      <c r="K12" s="86"/>
      <c r="L12" s="41"/>
      <c r="M12" s="41"/>
      <c r="N12" s="41"/>
    </row>
    <row r="13" spans="1:14" x14ac:dyDescent="0.3">
      <c r="A13" s="82"/>
      <c r="C13" t="s">
        <v>15</v>
      </c>
      <c r="D13" t="s">
        <v>102</v>
      </c>
      <c r="E13">
        <v>1.1299999999999999E-2</v>
      </c>
      <c r="H13" s="42"/>
      <c r="I13" s="99"/>
      <c r="J13" s="43"/>
      <c r="K13" s="45"/>
      <c r="L13" s="16" t="s">
        <v>21</v>
      </c>
      <c r="M13" s="41" t="s">
        <v>22</v>
      </c>
      <c r="N13" s="41"/>
    </row>
    <row r="14" spans="1:14" x14ac:dyDescent="0.3">
      <c r="A14" s="4" t="s">
        <v>3</v>
      </c>
      <c r="C14" t="s">
        <v>27</v>
      </c>
      <c r="D14" s="8"/>
      <c r="H14" s="42"/>
      <c r="I14" s="100"/>
      <c r="J14" s="46"/>
      <c r="K14" s="48"/>
      <c r="L14" s="16" t="s">
        <v>23</v>
      </c>
      <c r="M14" s="41" t="s">
        <v>24</v>
      </c>
      <c r="N14" s="41"/>
    </row>
    <row r="15" spans="1:14" x14ac:dyDescent="0.3">
      <c r="A15" s="4" t="s">
        <v>100</v>
      </c>
      <c r="B15" s="25"/>
      <c r="C15" t="s">
        <v>101</v>
      </c>
      <c r="D15" s="8"/>
    </row>
    <row r="16" spans="1:14" x14ac:dyDescent="0.3">
      <c r="A16" s="4" t="s">
        <v>146</v>
      </c>
      <c r="B16" s="25"/>
      <c r="C16" t="s">
        <v>14</v>
      </c>
      <c r="D16" s="8"/>
      <c r="H16" s="42" t="s">
        <v>25</v>
      </c>
      <c r="I16" s="13">
        <f>B14*B13</f>
        <v>0</v>
      </c>
      <c r="J16" s="41" t="s">
        <v>53</v>
      </c>
      <c r="K16" s="41"/>
      <c r="L16" s="41"/>
      <c r="M16" s="41"/>
      <c r="N16" s="41"/>
    </row>
    <row r="17" spans="1:14" x14ac:dyDescent="0.3">
      <c r="A17" t="s">
        <v>113</v>
      </c>
      <c r="C17" t="s">
        <v>14</v>
      </c>
      <c r="H17" s="42"/>
      <c r="I17" s="13">
        <f>B14*B12*E13</f>
        <v>0</v>
      </c>
      <c r="J17" s="41" t="s">
        <v>54</v>
      </c>
      <c r="K17" s="41"/>
      <c r="L17" s="41"/>
      <c r="M17" s="41"/>
      <c r="N17" s="41"/>
    </row>
    <row r="18" spans="1:14" x14ac:dyDescent="0.3">
      <c r="A18" s="82" t="s">
        <v>111</v>
      </c>
      <c r="B18" s="90"/>
      <c r="C18" s="82" t="s">
        <v>112</v>
      </c>
      <c r="D18" s="89" t="s">
        <v>114</v>
      </c>
      <c r="E18" s="91">
        <v>15</v>
      </c>
      <c r="H18" s="42"/>
      <c r="I18" s="12"/>
      <c r="J18" s="41" t="s">
        <v>29</v>
      </c>
      <c r="K18" s="41"/>
      <c r="L18" s="41"/>
      <c r="M18" s="41"/>
      <c r="N18" s="41"/>
    </row>
    <row r="19" spans="1:14" x14ac:dyDescent="0.3">
      <c r="A19" s="82"/>
      <c r="B19" s="90"/>
      <c r="C19" s="82"/>
      <c r="D19" s="89"/>
      <c r="E19" s="91"/>
    </row>
    <row r="20" spans="1:14" x14ac:dyDescent="0.3">
      <c r="A20" t="s">
        <v>133</v>
      </c>
      <c r="C20" t="s">
        <v>134</v>
      </c>
      <c r="H20" s="42" t="s">
        <v>30</v>
      </c>
      <c r="I20" s="97" t="e">
        <f>LN((B12*B6))/2</f>
        <v>#NUM!</v>
      </c>
      <c r="J20" s="41" t="s">
        <v>31</v>
      </c>
      <c r="K20" s="41"/>
      <c r="L20" s="41"/>
      <c r="M20" s="41"/>
      <c r="N20" s="41"/>
    </row>
    <row r="21" spans="1:14" x14ac:dyDescent="0.3">
      <c r="A21" t="s">
        <v>135</v>
      </c>
      <c r="C21" t="s">
        <v>12</v>
      </c>
      <c r="H21" s="42"/>
      <c r="I21" s="98"/>
      <c r="J21" s="41" t="s">
        <v>32</v>
      </c>
      <c r="K21" s="41"/>
      <c r="L21" s="41"/>
      <c r="M21" s="41"/>
      <c r="N21" s="41"/>
    </row>
    <row r="22" spans="1:14" x14ac:dyDescent="0.3">
      <c r="A22" t="s">
        <v>147</v>
      </c>
      <c r="C22" t="s">
        <v>148</v>
      </c>
    </row>
    <row r="23" spans="1:14" x14ac:dyDescent="0.3">
      <c r="H23" s="42" t="s">
        <v>33</v>
      </c>
      <c r="I23" s="97" t="e">
        <f>B12/B10</f>
        <v>#DIV/0!</v>
      </c>
      <c r="J23" s="41" t="s">
        <v>34</v>
      </c>
      <c r="K23" s="41"/>
      <c r="L23" s="41"/>
      <c r="M23" s="41"/>
      <c r="N23" s="41"/>
    </row>
    <row r="24" spans="1:14" x14ac:dyDescent="0.3">
      <c r="H24" s="42"/>
      <c r="I24" s="98"/>
      <c r="J24" s="41" t="s">
        <v>35</v>
      </c>
      <c r="K24" s="41"/>
      <c r="L24" s="41"/>
      <c r="M24" s="41"/>
      <c r="N24" s="41"/>
    </row>
    <row r="25" spans="1:14" x14ac:dyDescent="0.3">
      <c r="J25" s="2"/>
      <c r="K25" s="2"/>
      <c r="L25" s="2"/>
      <c r="M25" s="2"/>
      <c r="N25" s="2"/>
    </row>
    <row r="26" spans="1:14" x14ac:dyDescent="0.3">
      <c r="H26" s="59" t="s">
        <v>44</v>
      </c>
      <c r="I26" s="60"/>
      <c r="J26" s="60"/>
      <c r="K26" s="60"/>
      <c r="L26" s="60"/>
      <c r="M26" s="60"/>
      <c r="N26" s="60"/>
    </row>
    <row r="27" spans="1:14" x14ac:dyDescent="0.3">
      <c r="H27" s="42" t="s">
        <v>45</v>
      </c>
      <c r="I27" s="97" t="e">
        <f>B8/B10</f>
        <v>#DIV/0!</v>
      </c>
      <c r="J27" s="86" t="s">
        <v>55</v>
      </c>
      <c r="K27" s="41"/>
      <c r="L27" s="41"/>
      <c r="M27" s="41"/>
      <c r="N27" s="41"/>
    </row>
    <row r="28" spans="1:14" x14ac:dyDescent="0.3">
      <c r="H28" s="42"/>
      <c r="I28" s="99"/>
      <c r="J28" s="86"/>
      <c r="K28" s="96" t="s">
        <v>46</v>
      </c>
      <c r="L28" s="41"/>
      <c r="M28" s="41"/>
      <c r="N28" s="41"/>
    </row>
    <row r="29" spans="1:14" ht="16" customHeight="1" x14ac:dyDescent="0.3">
      <c r="F29" s="9"/>
      <c r="H29" s="42"/>
      <c r="I29" s="99"/>
      <c r="J29" s="92"/>
      <c r="K29" s="96" t="s">
        <v>47</v>
      </c>
      <c r="L29" s="41"/>
      <c r="M29" s="41"/>
      <c r="N29" s="41"/>
    </row>
    <row r="30" spans="1:14" x14ac:dyDescent="0.3">
      <c r="A30" s="56" t="s">
        <v>37</v>
      </c>
      <c r="B30" s="56"/>
      <c r="C30" s="56"/>
      <c r="D30" s="56"/>
      <c r="E30" s="56"/>
      <c r="F30" s="9"/>
      <c r="H30" s="42"/>
      <c r="I30" s="100"/>
      <c r="J30" s="88"/>
      <c r="K30" s="96" t="s">
        <v>48</v>
      </c>
      <c r="L30" s="41"/>
      <c r="M30" s="41"/>
      <c r="N30" s="41"/>
    </row>
    <row r="31" spans="1:14" x14ac:dyDescent="0.3">
      <c r="A31" s="56"/>
      <c r="B31" s="56"/>
      <c r="C31" s="56"/>
      <c r="D31" s="56"/>
      <c r="E31" s="56"/>
      <c r="F31" s="9"/>
    </row>
    <row r="32" spans="1:14" x14ac:dyDescent="0.3">
      <c r="A32" s="56"/>
      <c r="B32" s="56"/>
      <c r="C32" s="56"/>
      <c r="D32" s="56"/>
      <c r="E32" s="56"/>
      <c r="F32" s="10"/>
      <c r="H32" s="93" t="s">
        <v>57</v>
      </c>
      <c r="I32" s="42">
        <f>B8-(B10+(B12/5))</f>
        <v>0</v>
      </c>
      <c r="J32" s="42" t="s">
        <v>56</v>
      </c>
      <c r="K32" s="42"/>
      <c r="L32" s="42"/>
      <c r="M32" s="42"/>
      <c r="N32" s="42"/>
    </row>
    <row r="33" spans="1:14" x14ac:dyDescent="0.3">
      <c r="A33" s="85" t="s">
        <v>38</v>
      </c>
      <c r="B33" s="85"/>
      <c r="C33" s="85"/>
      <c r="D33" s="85"/>
      <c r="E33" s="85"/>
      <c r="F33" s="10"/>
      <c r="H33" s="93"/>
      <c r="I33" s="42"/>
      <c r="J33" s="42"/>
      <c r="K33" s="42"/>
      <c r="L33" s="42"/>
      <c r="M33" s="42"/>
      <c r="N33" s="42"/>
    </row>
    <row r="34" spans="1:14" x14ac:dyDescent="0.3">
      <c r="A34" s="85" t="s">
        <v>39</v>
      </c>
      <c r="B34" s="85"/>
      <c r="C34" s="85"/>
      <c r="D34" s="85"/>
      <c r="E34" s="85"/>
      <c r="F34" s="11"/>
      <c r="H34" s="101" t="s">
        <v>58</v>
      </c>
      <c r="I34" s="41">
        <f>B8-(B10+B12/6.85)</f>
        <v>0</v>
      </c>
      <c r="J34" s="42" t="s">
        <v>59</v>
      </c>
      <c r="K34" s="42"/>
      <c r="L34" s="42"/>
      <c r="M34" s="42"/>
      <c r="N34" s="42"/>
    </row>
    <row r="35" spans="1:14" x14ac:dyDescent="0.3">
      <c r="A35" s="63" t="s">
        <v>40</v>
      </c>
      <c r="B35" s="63"/>
      <c r="C35" s="63"/>
      <c r="D35" s="63"/>
      <c r="E35" s="63"/>
      <c r="F35" s="9"/>
      <c r="H35" s="102"/>
      <c r="I35" s="86"/>
      <c r="J35" s="61"/>
      <c r="K35" s="61"/>
      <c r="L35" s="61"/>
      <c r="M35" s="42"/>
      <c r="N35" s="42"/>
    </row>
    <row r="36" spans="1:14" x14ac:dyDescent="0.3">
      <c r="A36" s="56" t="s">
        <v>41</v>
      </c>
      <c r="B36" s="56"/>
      <c r="C36" s="56"/>
      <c r="D36" s="56"/>
      <c r="E36" s="56"/>
      <c r="F36" s="9"/>
      <c r="H36" s="64"/>
      <c r="I36" s="65"/>
      <c r="J36" s="65"/>
      <c r="K36" s="65"/>
      <c r="L36" s="66"/>
      <c r="M36" s="16" t="s">
        <v>61</v>
      </c>
      <c r="N36" s="12" t="s">
        <v>64</v>
      </c>
    </row>
    <row r="37" spans="1:14" x14ac:dyDescent="0.3">
      <c r="A37" s="56"/>
      <c r="B37" s="56"/>
      <c r="C37" s="56"/>
      <c r="D37" s="56"/>
      <c r="E37" s="56"/>
      <c r="F37" s="9"/>
      <c r="H37" s="67"/>
      <c r="I37" s="68"/>
      <c r="J37" s="68"/>
      <c r="K37" s="68"/>
      <c r="L37" s="69"/>
      <c r="M37" s="16" t="s">
        <v>62</v>
      </c>
      <c r="N37" s="12" t="s">
        <v>65</v>
      </c>
    </row>
    <row r="38" spans="1:14" x14ac:dyDescent="0.3">
      <c r="A38" s="56" t="s">
        <v>43</v>
      </c>
      <c r="B38" s="56"/>
      <c r="C38" s="56"/>
      <c r="D38" s="56"/>
      <c r="E38" s="56"/>
      <c r="F38" s="9"/>
      <c r="H38" s="70"/>
      <c r="I38" s="71"/>
      <c r="J38" s="71"/>
      <c r="K38" s="71"/>
      <c r="L38" s="72"/>
      <c r="M38" s="16" t="s">
        <v>63</v>
      </c>
      <c r="N38" s="12" t="s">
        <v>66</v>
      </c>
    </row>
    <row r="39" spans="1:14" x14ac:dyDescent="0.3">
      <c r="A39" s="56"/>
      <c r="B39" s="56"/>
      <c r="C39" s="56"/>
      <c r="D39" s="56"/>
      <c r="E39" s="56"/>
    </row>
    <row r="40" spans="1:14" x14ac:dyDescent="0.3">
      <c r="A40" s="56" t="s">
        <v>78</v>
      </c>
      <c r="B40" s="56"/>
      <c r="C40" s="56"/>
      <c r="D40" s="56"/>
      <c r="E40" s="56"/>
      <c r="H40" s="42" t="s">
        <v>60</v>
      </c>
      <c r="I40" s="42">
        <f>B8-B10</f>
        <v>0</v>
      </c>
      <c r="J40" s="86" t="s">
        <v>67</v>
      </c>
      <c r="K40" s="86"/>
      <c r="L40" s="86"/>
      <c r="M40" s="41"/>
      <c r="N40" s="41"/>
    </row>
    <row r="41" spans="1:14" x14ac:dyDescent="0.3">
      <c r="A41" s="56"/>
      <c r="B41" s="56"/>
      <c r="C41" s="56"/>
      <c r="D41" s="56"/>
      <c r="E41" s="56"/>
      <c r="H41" s="42"/>
      <c r="I41" s="87"/>
      <c r="J41" s="43"/>
      <c r="K41" s="44"/>
      <c r="L41" s="45"/>
      <c r="M41" s="16" t="s">
        <v>68</v>
      </c>
      <c r="N41" s="12" t="s">
        <v>71</v>
      </c>
    </row>
    <row r="42" spans="1:14" x14ac:dyDescent="0.3">
      <c r="A42" s="83" t="s">
        <v>79</v>
      </c>
      <c r="B42" s="83"/>
      <c r="C42" s="83"/>
      <c r="D42" s="83"/>
      <c r="E42" s="83"/>
      <c r="H42" s="42"/>
      <c r="I42" s="87"/>
      <c r="J42" s="49"/>
      <c r="K42" s="50"/>
      <c r="L42" s="51"/>
      <c r="M42" s="24" t="s">
        <v>69</v>
      </c>
      <c r="N42" s="23" t="s">
        <v>70</v>
      </c>
    </row>
    <row r="43" spans="1:14" x14ac:dyDescent="0.3">
      <c r="A43" s="83"/>
      <c r="B43" s="83"/>
      <c r="C43" s="83"/>
      <c r="D43" s="83"/>
      <c r="E43" s="83"/>
      <c r="H43" s="42"/>
      <c r="I43" s="87"/>
      <c r="J43" s="49"/>
      <c r="K43" s="50"/>
      <c r="L43" s="51"/>
      <c r="M43" s="24" t="s">
        <v>72</v>
      </c>
      <c r="N43" s="23" t="s">
        <v>73</v>
      </c>
    </row>
    <row r="44" spans="1:14" x14ac:dyDescent="0.3">
      <c r="A44" s="85" t="s">
        <v>86</v>
      </c>
      <c r="B44" s="85"/>
      <c r="C44" s="85"/>
      <c r="D44" s="85"/>
      <c r="E44" s="85"/>
      <c r="H44" s="42"/>
      <c r="I44" s="87"/>
      <c r="J44" s="49"/>
      <c r="K44" s="50"/>
      <c r="L44" s="51"/>
      <c r="M44" s="24" t="s">
        <v>74</v>
      </c>
      <c r="N44" s="23" t="s">
        <v>75</v>
      </c>
    </row>
    <row r="45" spans="1:14" ht="16" customHeight="1" x14ac:dyDescent="0.3">
      <c r="A45" s="82" t="s">
        <v>90</v>
      </c>
      <c r="B45" s="82"/>
      <c r="C45" s="82"/>
      <c r="D45" s="82"/>
      <c r="E45" s="82"/>
      <c r="H45" s="42"/>
      <c r="I45" s="87"/>
      <c r="J45" s="46"/>
      <c r="K45" s="47"/>
      <c r="L45" s="48"/>
      <c r="M45" s="24" t="s">
        <v>76</v>
      </c>
      <c r="N45" s="23" t="s">
        <v>77</v>
      </c>
    </row>
    <row r="46" spans="1:14" x14ac:dyDescent="0.3">
      <c r="A46" s="83" t="s">
        <v>99</v>
      </c>
      <c r="B46" s="83"/>
      <c r="C46" s="83"/>
      <c r="D46" s="83"/>
      <c r="E46" s="83"/>
    </row>
    <row r="47" spans="1:14" x14ac:dyDescent="0.3">
      <c r="A47" s="83"/>
      <c r="B47" s="83"/>
      <c r="C47" s="83"/>
      <c r="D47" s="83"/>
      <c r="E47" s="83"/>
      <c r="H47" s="42" t="s">
        <v>80</v>
      </c>
      <c r="I47" s="84" t="e">
        <f>I32/B10</f>
        <v>#DIV/0!</v>
      </c>
      <c r="J47" s="41" t="s">
        <v>81</v>
      </c>
      <c r="K47" s="41"/>
      <c r="L47" s="41"/>
      <c r="M47" s="41"/>
      <c r="N47" s="41"/>
    </row>
    <row r="48" spans="1:14" x14ac:dyDescent="0.3">
      <c r="A48" s="83"/>
      <c r="B48" s="83"/>
      <c r="C48" s="83"/>
      <c r="D48" s="83"/>
      <c r="E48" s="83"/>
      <c r="H48" s="42"/>
      <c r="I48" s="84"/>
      <c r="J48" s="17"/>
      <c r="K48" s="21"/>
      <c r="L48" s="18"/>
      <c r="M48" s="12" t="s">
        <v>82</v>
      </c>
      <c r="N48" s="12" t="s">
        <v>83</v>
      </c>
    </row>
    <row r="49" spans="1:15" x14ac:dyDescent="0.3">
      <c r="A49" s="83"/>
      <c r="B49" s="83"/>
      <c r="C49" s="83"/>
      <c r="D49" s="83"/>
      <c r="E49" s="83"/>
      <c r="H49" s="42"/>
      <c r="I49" s="84"/>
      <c r="J49" s="19"/>
      <c r="K49" s="22"/>
      <c r="L49" s="20"/>
      <c r="M49" s="12" t="s">
        <v>84</v>
      </c>
      <c r="N49" s="12" t="s">
        <v>85</v>
      </c>
    </row>
    <row r="50" spans="1:15" x14ac:dyDescent="0.3">
      <c r="A50" s="63" t="s">
        <v>108</v>
      </c>
      <c r="B50" s="63"/>
      <c r="C50" s="63"/>
      <c r="D50" s="63"/>
      <c r="E50" s="63"/>
    </row>
    <row r="51" spans="1:15" x14ac:dyDescent="0.3">
      <c r="A51" s="54" t="s">
        <v>128</v>
      </c>
      <c r="B51" s="54"/>
      <c r="C51" s="54"/>
      <c r="D51" s="54"/>
      <c r="E51" s="54"/>
      <c r="H51" s="61" t="s">
        <v>87</v>
      </c>
      <c r="I51" s="61">
        <f>I40-I32</f>
        <v>0</v>
      </c>
      <c r="J51" s="41" t="s">
        <v>88</v>
      </c>
      <c r="K51" s="41"/>
      <c r="L51" s="41"/>
      <c r="M51" s="41"/>
      <c r="N51" s="41"/>
    </row>
    <row r="52" spans="1:15" x14ac:dyDescent="0.3">
      <c r="A52" s="54"/>
      <c r="B52" s="54"/>
      <c r="C52" s="54"/>
      <c r="D52" s="54"/>
      <c r="E52" s="54"/>
      <c r="H52" s="62"/>
      <c r="I52" s="62"/>
      <c r="J52" s="26"/>
      <c r="K52" s="27"/>
      <c r="L52" s="16"/>
      <c r="M52" s="12" t="s">
        <v>72</v>
      </c>
      <c r="N52" s="12" t="s">
        <v>89</v>
      </c>
    </row>
    <row r="53" spans="1:15" x14ac:dyDescent="0.3">
      <c r="A53" s="56" t="s">
        <v>132</v>
      </c>
      <c r="B53" s="56"/>
      <c r="C53" s="56"/>
      <c r="D53" s="56"/>
      <c r="E53" s="56"/>
    </row>
    <row r="54" spans="1:15" x14ac:dyDescent="0.3">
      <c r="A54" s="56"/>
      <c r="B54" s="56"/>
      <c r="C54" s="56"/>
      <c r="D54" s="56"/>
      <c r="E54" s="56"/>
      <c r="H54" s="42" t="s">
        <v>91</v>
      </c>
      <c r="I54" s="28" t="e">
        <f>LOG(B13/B11)</f>
        <v>#DIV/0!</v>
      </c>
      <c r="J54" s="41" t="s">
        <v>104</v>
      </c>
      <c r="K54" s="41"/>
      <c r="L54" s="41"/>
      <c r="M54" s="41"/>
      <c r="N54" s="41"/>
    </row>
    <row r="55" spans="1:15" x14ac:dyDescent="0.3">
      <c r="A55" s="56" t="s">
        <v>145</v>
      </c>
      <c r="B55" s="56"/>
      <c r="C55" s="56"/>
      <c r="D55" s="56"/>
      <c r="E55" s="56"/>
      <c r="H55" s="42"/>
      <c r="I55" s="28" t="e">
        <f>LOG((B12*E13)/(B10*E11))</f>
        <v>#DIV/0!</v>
      </c>
      <c r="J55" s="41" t="s">
        <v>105</v>
      </c>
      <c r="K55" s="41"/>
      <c r="L55" s="41"/>
      <c r="M55" s="41"/>
      <c r="N55" s="41"/>
    </row>
    <row r="56" spans="1:15" x14ac:dyDescent="0.3">
      <c r="A56" s="56"/>
      <c r="B56" s="56"/>
      <c r="C56" s="56"/>
      <c r="D56" s="56"/>
      <c r="E56" s="56"/>
      <c r="H56" s="42"/>
      <c r="I56" s="73" t="s">
        <v>98</v>
      </c>
      <c r="J56" s="74"/>
      <c r="K56" s="74"/>
      <c r="L56" s="75"/>
      <c r="M56" s="12" t="s">
        <v>92</v>
      </c>
      <c r="N56" s="12" t="s">
        <v>93</v>
      </c>
    </row>
    <row r="57" spans="1:15" x14ac:dyDescent="0.3">
      <c r="A57" s="63" t="s">
        <v>159</v>
      </c>
      <c r="B57" s="63"/>
      <c r="C57" s="63"/>
      <c r="D57" s="63"/>
      <c r="E57" s="63"/>
      <c r="H57" s="42"/>
      <c r="I57" s="76"/>
      <c r="J57" s="77"/>
      <c r="K57" s="77"/>
      <c r="L57" s="78"/>
      <c r="M57" s="12" t="s">
        <v>94</v>
      </c>
      <c r="N57" s="12" t="s">
        <v>95</v>
      </c>
    </row>
    <row r="58" spans="1:15" x14ac:dyDescent="0.3">
      <c r="A58" s="54" t="s">
        <v>161</v>
      </c>
      <c r="B58" s="54"/>
      <c r="C58" s="54"/>
      <c r="D58" s="54"/>
      <c r="E58" s="54"/>
      <c r="H58" s="42"/>
      <c r="I58" s="79"/>
      <c r="J58" s="80"/>
      <c r="K58" s="80"/>
      <c r="L58" s="81"/>
      <c r="M58" s="12" t="s">
        <v>96</v>
      </c>
      <c r="N58" s="12" t="s">
        <v>97</v>
      </c>
    </row>
    <row r="59" spans="1:15" x14ac:dyDescent="0.3">
      <c r="A59" s="54"/>
      <c r="B59" s="54"/>
      <c r="C59" s="54"/>
      <c r="D59" s="54"/>
      <c r="E59" s="54"/>
    </row>
    <row r="61" spans="1:15" x14ac:dyDescent="0.3">
      <c r="H61" s="59" t="s">
        <v>109</v>
      </c>
      <c r="I61" s="60"/>
      <c r="J61" s="60"/>
      <c r="K61" s="60"/>
      <c r="L61" s="60"/>
      <c r="M61" s="60"/>
      <c r="N61" s="60"/>
    </row>
    <row r="62" spans="1:15" x14ac:dyDescent="0.3">
      <c r="H62" s="42" t="s">
        <v>110</v>
      </c>
      <c r="I62" s="58" t="s">
        <v>115</v>
      </c>
      <c r="J62" s="58"/>
      <c r="K62" s="58"/>
      <c r="L62" s="41" t="s">
        <v>119</v>
      </c>
      <c r="M62" s="41"/>
      <c r="N62" s="41"/>
      <c r="O62" s="38"/>
    </row>
    <row r="63" spans="1:15" ht="16" customHeight="1" x14ac:dyDescent="0.3">
      <c r="H63" s="42"/>
      <c r="I63" s="35" t="s">
        <v>116</v>
      </c>
      <c r="J63" s="35" t="s">
        <v>117</v>
      </c>
      <c r="K63" s="35" t="s">
        <v>118</v>
      </c>
      <c r="L63" s="57" t="s">
        <v>151</v>
      </c>
      <c r="M63" s="57"/>
      <c r="N63" s="57"/>
      <c r="O63" s="57"/>
    </row>
    <row r="64" spans="1:15" x14ac:dyDescent="0.3">
      <c r="H64" s="42"/>
      <c r="I64" s="36">
        <v>150</v>
      </c>
      <c r="J64" s="36">
        <v>1191.4000000000001</v>
      </c>
      <c r="K64" s="36">
        <v>851.4</v>
      </c>
      <c r="L64" s="57"/>
      <c r="M64" s="57"/>
      <c r="N64" s="57"/>
      <c r="O64" s="57"/>
    </row>
    <row r="65" spans="8:17" x14ac:dyDescent="0.3">
      <c r="H65" s="42"/>
      <c r="I65" s="36">
        <v>155</v>
      </c>
      <c r="J65" s="36">
        <v>1271.9000000000001</v>
      </c>
      <c r="K65" s="36">
        <v>909</v>
      </c>
      <c r="L65" s="57"/>
      <c r="M65" s="57"/>
      <c r="N65" s="57"/>
      <c r="O65" s="57"/>
    </row>
    <row r="66" spans="8:17" ht="16" customHeight="1" x14ac:dyDescent="0.3">
      <c r="H66" s="42"/>
      <c r="I66" s="36">
        <v>160</v>
      </c>
      <c r="J66" s="36">
        <v>1354.7</v>
      </c>
      <c r="K66" s="36">
        <v>968.4</v>
      </c>
      <c r="L66" s="57"/>
      <c r="M66" s="57"/>
      <c r="N66" s="57"/>
      <c r="O66" s="57"/>
      <c r="P66" s="34"/>
      <c r="Q66" s="34"/>
    </row>
    <row r="67" spans="8:17" x14ac:dyDescent="0.3">
      <c r="H67" s="42"/>
      <c r="I67" s="36">
        <v>165</v>
      </c>
      <c r="J67" s="36">
        <v>1439.8</v>
      </c>
      <c r="K67" s="36">
        <v>1029.5999999999999</v>
      </c>
      <c r="L67" s="57"/>
      <c r="M67" s="57"/>
      <c r="N67" s="57"/>
      <c r="O67" s="57"/>
      <c r="P67" s="34"/>
      <c r="Q67" s="34"/>
    </row>
    <row r="68" spans="8:17" x14ac:dyDescent="0.3">
      <c r="H68" s="42"/>
      <c r="I68" s="36">
        <v>170</v>
      </c>
      <c r="J68" s="36">
        <v>1529.5</v>
      </c>
      <c r="K68" s="36">
        <v>1092.5999999999999</v>
      </c>
      <c r="L68" s="57"/>
      <c r="M68" s="57"/>
      <c r="N68" s="57"/>
      <c r="O68" s="57"/>
      <c r="P68" s="34"/>
      <c r="Q68" s="34"/>
    </row>
    <row r="69" spans="8:17" x14ac:dyDescent="0.3">
      <c r="H69" s="42"/>
      <c r="I69" s="36">
        <v>175</v>
      </c>
      <c r="J69" s="36">
        <v>1619.2</v>
      </c>
      <c r="K69" s="36">
        <v>1175.4000000000001</v>
      </c>
      <c r="L69" s="53"/>
      <c r="M69" s="53"/>
      <c r="N69" s="53"/>
      <c r="O69" s="53"/>
      <c r="P69" s="34"/>
      <c r="Q69" s="34"/>
    </row>
    <row r="70" spans="8:17" x14ac:dyDescent="0.3">
      <c r="H70" s="42"/>
      <c r="I70" s="36">
        <v>180</v>
      </c>
      <c r="J70" s="36">
        <v>1713.5</v>
      </c>
      <c r="K70" s="36">
        <v>1224</v>
      </c>
      <c r="L70" s="53"/>
      <c r="M70" s="53"/>
      <c r="N70" s="53"/>
      <c r="O70" s="53"/>
      <c r="P70" s="34"/>
      <c r="Q70" s="34"/>
    </row>
    <row r="71" spans="8:17" x14ac:dyDescent="0.3">
      <c r="H71" s="42"/>
      <c r="I71" s="36">
        <v>185</v>
      </c>
      <c r="J71" s="36">
        <v>1810.1</v>
      </c>
      <c r="K71" s="36">
        <v>1294.2</v>
      </c>
      <c r="L71" s="53" t="s">
        <v>120</v>
      </c>
      <c r="M71" s="53"/>
      <c r="N71" s="39" t="s">
        <v>121</v>
      </c>
      <c r="O71" s="40"/>
    </row>
    <row r="72" spans="8:17" x14ac:dyDescent="0.3">
      <c r="H72" s="42"/>
      <c r="I72" s="36">
        <v>190</v>
      </c>
      <c r="J72" s="36">
        <v>1909</v>
      </c>
      <c r="K72" s="36">
        <v>1364.4</v>
      </c>
      <c r="L72" s="53" t="s">
        <v>122</v>
      </c>
      <c r="M72" s="53"/>
      <c r="N72" s="39" t="s">
        <v>123</v>
      </c>
      <c r="O72" s="37"/>
    </row>
    <row r="73" spans="8:17" x14ac:dyDescent="0.3">
      <c r="H73" s="42"/>
      <c r="I73" s="36">
        <v>195</v>
      </c>
      <c r="J73" s="36">
        <v>2012.5</v>
      </c>
      <c r="K73" s="36">
        <v>1438.2</v>
      </c>
      <c r="L73" s="53" t="s">
        <v>124</v>
      </c>
      <c r="M73" s="53"/>
      <c r="N73" s="39" t="s">
        <v>125</v>
      </c>
      <c r="O73" s="37"/>
    </row>
    <row r="74" spans="8:17" x14ac:dyDescent="0.3">
      <c r="H74" s="42"/>
      <c r="I74" s="36">
        <v>200</v>
      </c>
      <c r="J74" s="36">
        <v>2116</v>
      </c>
      <c r="K74" s="36">
        <v>1512</v>
      </c>
      <c r="L74" s="53" t="s">
        <v>126</v>
      </c>
      <c r="M74" s="53"/>
      <c r="N74" s="39" t="s">
        <v>127</v>
      </c>
      <c r="O74" s="37"/>
    </row>
    <row r="75" spans="8:17" x14ac:dyDescent="0.3">
      <c r="I75" s="33"/>
      <c r="J75" s="33"/>
      <c r="K75" s="33"/>
    </row>
    <row r="76" spans="8:17" x14ac:dyDescent="0.3">
      <c r="H76" s="29" t="s">
        <v>129</v>
      </c>
      <c r="I76" s="41" t="s">
        <v>130</v>
      </c>
      <c r="J76" s="41"/>
      <c r="K76" s="55" t="s">
        <v>131</v>
      </c>
      <c r="L76" s="41"/>
      <c r="M76" s="41"/>
      <c r="N76" s="41"/>
      <c r="O76" s="41"/>
    </row>
    <row r="78" spans="8:17" x14ac:dyDescent="0.3">
      <c r="H78" s="42" t="s">
        <v>136</v>
      </c>
      <c r="I78" s="12" t="e">
        <f>(1.52*B20)+(41.7*(B3/B21))</f>
        <v>#DIV/0!</v>
      </c>
      <c r="J78" s="41" t="s">
        <v>137</v>
      </c>
      <c r="K78" s="41"/>
      <c r="L78" s="41"/>
      <c r="M78" s="41"/>
      <c r="N78" s="41"/>
    </row>
    <row r="79" spans="8:17" x14ac:dyDescent="0.3">
      <c r="H79" s="42"/>
      <c r="I79" s="43"/>
      <c r="J79" s="44"/>
      <c r="K79" s="44"/>
      <c r="L79" s="45"/>
      <c r="M79" s="12" t="s">
        <v>120</v>
      </c>
      <c r="N79" s="12" t="s">
        <v>138</v>
      </c>
    </row>
    <row r="80" spans="8:17" x14ac:dyDescent="0.3">
      <c r="H80" s="42"/>
      <c r="I80" s="49"/>
      <c r="J80" s="50"/>
      <c r="K80" s="50"/>
      <c r="L80" s="51"/>
      <c r="M80" s="12" t="s">
        <v>139</v>
      </c>
      <c r="N80" s="12" t="s">
        <v>140</v>
      </c>
    </row>
    <row r="81" spans="8:16" x14ac:dyDescent="0.3">
      <c r="H81" s="42"/>
      <c r="I81" s="49"/>
      <c r="J81" s="50"/>
      <c r="K81" s="50"/>
      <c r="L81" s="51"/>
      <c r="M81" s="12" t="s">
        <v>141</v>
      </c>
      <c r="N81" s="12" t="s">
        <v>142</v>
      </c>
    </row>
    <row r="82" spans="8:16" x14ac:dyDescent="0.3">
      <c r="H82" s="42"/>
      <c r="I82" s="46"/>
      <c r="J82" s="47"/>
      <c r="K82" s="47"/>
      <c r="L82" s="48"/>
      <c r="M82" s="12" t="s">
        <v>143</v>
      </c>
      <c r="N82" s="12" t="s">
        <v>144</v>
      </c>
    </row>
    <row r="84" spans="8:16" x14ac:dyDescent="0.3">
      <c r="H84" s="42" t="s">
        <v>150</v>
      </c>
      <c r="I84" s="12" t="e">
        <f>(B17*B22)/(1440*B16)</f>
        <v>#DIV/0!</v>
      </c>
      <c r="J84" s="52" t="s">
        <v>149</v>
      </c>
      <c r="K84" s="52"/>
      <c r="L84" s="52"/>
      <c r="M84" s="52"/>
      <c r="N84" s="52"/>
      <c r="O84" s="52"/>
    </row>
    <row r="85" spans="8:16" x14ac:dyDescent="0.3">
      <c r="H85" s="42"/>
      <c r="I85" s="43"/>
      <c r="J85" s="44"/>
      <c r="K85" s="44"/>
      <c r="L85" s="45"/>
      <c r="M85" s="12" t="s">
        <v>106</v>
      </c>
      <c r="N85" s="41" t="s">
        <v>152</v>
      </c>
      <c r="O85" s="41"/>
    </row>
    <row r="86" spans="8:16" x14ac:dyDescent="0.3">
      <c r="H86" s="42"/>
      <c r="I86" s="46"/>
      <c r="J86" s="47"/>
      <c r="K86" s="47"/>
      <c r="L86" s="48"/>
      <c r="M86" s="12" t="s">
        <v>107</v>
      </c>
      <c r="N86" s="41" t="s">
        <v>153</v>
      </c>
      <c r="O86" s="41"/>
    </row>
    <row r="87" spans="8:16" x14ac:dyDescent="0.3">
      <c r="H87" s="32"/>
      <c r="I87" s="31"/>
      <c r="J87" s="31"/>
      <c r="K87" s="31"/>
      <c r="L87" s="31"/>
      <c r="M87" s="15"/>
      <c r="N87" s="31"/>
      <c r="O87" s="31"/>
    </row>
    <row r="88" spans="8:16" x14ac:dyDescent="0.3">
      <c r="H88" s="59" t="s">
        <v>184</v>
      </c>
      <c r="I88" s="59"/>
      <c r="J88" s="59"/>
      <c r="K88" s="59"/>
      <c r="L88" s="59"/>
      <c r="M88" s="59"/>
      <c r="N88" s="59"/>
      <c r="O88" s="59"/>
      <c r="P88" s="59"/>
    </row>
    <row r="89" spans="8:16" x14ac:dyDescent="0.3">
      <c r="H89" s="42" t="s">
        <v>154</v>
      </c>
      <c r="I89" s="12" t="s">
        <v>106</v>
      </c>
      <c r="J89" s="12" t="e">
        <f>((140-B2)+B3)/(72*B16)</f>
        <v>#DIV/0!</v>
      </c>
      <c r="K89" s="41" t="s">
        <v>155</v>
      </c>
      <c r="L89" s="41"/>
      <c r="M89" s="41"/>
      <c r="N89" s="41"/>
    </row>
    <row r="90" spans="8:16" x14ac:dyDescent="0.3">
      <c r="H90" s="42"/>
      <c r="I90" s="12" t="s">
        <v>107</v>
      </c>
      <c r="J90" s="12" t="e">
        <f>((140-B2)+B3)/(72*B16)*0.85</f>
        <v>#DIV/0!</v>
      </c>
      <c r="K90" s="41" t="s">
        <v>156</v>
      </c>
      <c r="L90" s="41"/>
      <c r="M90" s="41"/>
      <c r="N90" s="41"/>
    </row>
    <row r="91" spans="8:16" x14ac:dyDescent="0.3">
      <c r="H91" s="42"/>
      <c r="I91" s="103"/>
      <c r="J91" s="96"/>
      <c r="K91" s="103" t="s">
        <v>157</v>
      </c>
      <c r="L91" s="104"/>
      <c r="M91" s="104"/>
      <c r="N91" s="96"/>
    </row>
    <row r="93" spans="8:16" x14ac:dyDescent="0.3">
      <c r="H93" s="59" t="s">
        <v>158</v>
      </c>
      <c r="I93" s="60"/>
      <c r="J93" s="60"/>
      <c r="K93" s="60"/>
      <c r="L93" s="60"/>
      <c r="M93" s="60"/>
      <c r="N93" s="60"/>
    </row>
    <row r="94" spans="8:16" x14ac:dyDescent="0.3">
      <c r="H94" s="42" t="s">
        <v>160</v>
      </c>
      <c r="I94" s="41" t="s">
        <v>130</v>
      </c>
      <c r="J94" s="41"/>
      <c r="K94" s="55" t="s">
        <v>162</v>
      </c>
      <c r="L94" s="41"/>
      <c r="M94" s="41"/>
      <c r="N94" s="41"/>
      <c r="O94" s="41"/>
    </row>
    <row r="95" spans="8:16" x14ac:dyDescent="0.3">
      <c r="H95" s="42"/>
      <c r="I95" s="41" t="s">
        <v>163</v>
      </c>
      <c r="J95" s="41"/>
      <c r="K95" s="55" t="s">
        <v>164</v>
      </c>
      <c r="L95" s="41"/>
      <c r="M95" s="41"/>
      <c r="N95" s="41"/>
      <c r="O95" s="41"/>
    </row>
    <row r="96" spans="8:16" x14ac:dyDescent="0.3">
      <c r="I96" s="30"/>
      <c r="J96" s="30"/>
    </row>
    <row r="97" spans="8:16" x14ac:dyDescent="0.3">
      <c r="H97" s="42" t="s">
        <v>165</v>
      </c>
      <c r="I97" s="52" t="s">
        <v>166</v>
      </c>
      <c r="J97" s="52"/>
      <c r="K97" s="12" t="e">
        <f>(175*(B16^-1.154))*(B2^-0.203)</f>
        <v>#DIV/0!</v>
      </c>
      <c r="L97" s="52" t="s">
        <v>170</v>
      </c>
      <c r="M97" s="52"/>
      <c r="N97" s="52"/>
      <c r="O97" s="52"/>
      <c r="P97" s="52"/>
    </row>
    <row r="98" spans="8:16" x14ac:dyDescent="0.3">
      <c r="H98" s="42"/>
      <c r="I98" s="52" t="s">
        <v>167</v>
      </c>
      <c r="J98" s="52"/>
      <c r="K98" s="12" t="e">
        <f>(175*(B16^-1.154))*(B2^-0.203)*0.742</f>
        <v>#DIV/0!</v>
      </c>
      <c r="L98" s="12" t="s">
        <v>171</v>
      </c>
      <c r="M98" s="12" t="s">
        <v>173</v>
      </c>
      <c r="N98" s="12" t="s">
        <v>175</v>
      </c>
      <c r="O98" s="43"/>
      <c r="P98" s="45"/>
    </row>
    <row r="99" spans="8:16" x14ac:dyDescent="0.3">
      <c r="H99" s="42"/>
      <c r="I99" s="52" t="s">
        <v>168</v>
      </c>
      <c r="J99" s="52"/>
      <c r="K99" s="12" t="e">
        <f>(175*(B16^-1.154))*(B2^-0.203)*1.212</f>
        <v>#DIV/0!</v>
      </c>
      <c r="L99" s="12" t="s">
        <v>172</v>
      </c>
      <c r="M99" s="12" t="s">
        <v>176</v>
      </c>
      <c r="N99" s="12" t="s">
        <v>177</v>
      </c>
      <c r="O99" s="49"/>
      <c r="P99" s="51"/>
    </row>
    <row r="100" spans="8:16" x14ac:dyDescent="0.3">
      <c r="H100" s="42"/>
      <c r="I100" s="52" t="s">
        <v>169</v>
      </c>
      <c r="J100" s="52"/>
      <c r="K100" s="12" t="e">
        <f>(186*(B16^-1.154))*(B2^-0.203)*1.212*0.742</f>
        <v>#DIV/0!</v>
      </c>
      <c r="L100" s="103"/>
      <c r="M100" s="104"/>
      <c r="N100" s="96"/>
      <c r="O100" s="46"/>
      <c r="P100" s="48"/>
    </row>
    <row r="101" spans="8:16" x14ac:dyDescent="0.3">
      <c r="H101" s="42"/>
      <c r="I101" s="41"/>
      <c r="J101" s="41"/>
      <c r="K101" s="103" t="s">
        <v>174</v>
      </c>
      <c r="L101" s="104"/>
      <c r="M101" s="104"/>
      <c r="N101" s="104"/>
      <c r="O101" s="104"/>
      <c r="P101" s="96"/>
    </row>
    <row r="103" spans="8:16" x14ac:dyDescent="0.3">
      <c r="H103" s="93" t="s">
        <v>178</v>
      </c>
      <c r="I103" s="12" t="s">
        <v>179</v>
      </c>
      <c r="J103" s="12" t="e">
        <f>((140-B2)*(B15*(B4/100)^2))/(72*B16)</f>
        <v>#DIV/0!</v>
      </c>
      <c r="K103" s="52" t="s">
        <v>181</v>
      </c>
      <c r="L103" s="52"/>
      <c r="M103" s="52"/>
      <c r="N103" s="52"/>
      <c r="O103" s="52"/>
    </row>
    <row r="104" spans="8:16" x14ac:dyDescent="0.3">
      <c r="H104" s="93"/>
      <c r="I104" s="12" t="s">
        <v>180</v>
      </c>
      <c r="J104" s="12" t="e">
        <f>((140-B2)*(B15*(B4/100)^2))/(72*B16)*0.85</f>
        <v>#DIV/0!</v>
      </c>
      <c r="K104" s="52" t="s">
        <v>182</v>
      </c>
      <c r="L104" s="52"/>
      <c r="M104" s="52"/>
      <c r="N104" s="52"/>
      <c r="O104" s="52"/>
    </row>
    <row r="105" spans="8:16" x14ac:dyDescent="0.3">
      <c r="H105" s="93"/>
      <c r="I105" s="103"/>
      <c r="J105" s="96"/>
      <c r="K105" s="52" t="s">
        <v>183</v>
      </c>
      <c r="L105" s="52"/>
      <c r="M105" s="52"/>
      <c r="N105" s="52"/>
      <c r="O105" s="52"/>
    </row>
  </sheetData>
  <mergeCells count="134">
    <mergeCell ref="K103:O103"/>
    <mergeCell ref="K104:O104"/>
    <mergeCell ref="K105:O105"/>
    <mergeCell ref="H103:H105"/>
    <mergeCell ref="I105:J105"/>
    <mergeCell ref="H88:P88"/>
    <mergeCell ref="I97:J97"/>
    <mergeCell ref="I98:J98"/>
    <mergeCell ref="I99:J99"/>
    <mergeCell ref="I100:J100"/>
    <mergeCell ref="L97:P97"/>
    <mergeCell ref="H97:H101"/>
    <mergeCell ref="L100:N100"/>
    <mergeCell ref="O98:P100"/>
    <mergeCell ref="I101:J101"/>
    <mergeCell ref="K101:P101"/>
    <mergeCell ref="H93:N93"/>
    <mergeCell ref="I94:J94"/>
    <mergeCell ref="K94:O94"/>
    <mergeCell ref="I95:J95"/>
    <mergeCell ref="K95:O95"/>
    <mergeCell ref="H89:H91"/>
    <mergeCell ref="I91:J91"/>
    <mergeCell ref="K91:N91"/>
    <mergeCell ref="A34:E34"/>
    <mergeCell ref="A35:E35"/>
    <mergeCell ref="A36:E37"/>
    <mergeCell ref="A38:E39"/>
    <mergeCell ref="H1:N1"/>
    <mergeCell ref="H26:N26"/>
    <mergeCell ref="J27:N27"/>
    <mergeCell ref="K28:N28"/>
    <mergeCell ref="K29:N29"/>
    <mergeCell ref="K30:N30"/>
    <mergeCell ref="H27:H30"/>
    <mergeCell ref="H23:H24"/>
    <mergeCell ref="I23:I24"/>
    <mergeCell ref="I20:I21"/>
    <mergeCell ref="I12:I14"/>
    <mergeCell ref="I27:I30"/>
    <mergeCell ref="H32:H33"/>
    <mergeCell ref="I32:I33"/>
    <mergeCell ref="J32:N33"/>
    <mergeCell ref="H34:H35"/>
    <mergeCell ref="I34:I35"/>
    <mergeCell ref="J34:N35"/>
    <mergeCell ref="A33:E33"/>
    <mergeCell ref="H2:N2"/>
    <mergeCell ref="J12:N12"/>
    <mergeCell ref="H12:H14"/>
    <mergeCell ref="M13:N13"/>
    <mergeCell ref="M14:N14"/>
    <mergeCell ref="J3:N3"/>
    <mergeCell ref="J4:N4"/>
    <mergeCell ref="L5:N5"/>
    <mergeCell ref="L6:N6"/>
    <mergeCell ref="J8:N8"/>
    <mergeCell ref="J9:N9"/>
    <mergeCell ref="J5:K6"/>
    <mergeCell ref="H3:H6"/>
    <mergeCell ref="J10:N10"/>
    <mergeCell ref="A12:A13"/>
    <mergeCell ref="A8:A9"/>
    <mergeCell ref="A10:A11"/>
    <mergeCell ref="I5:I6"/>
    <mergeCell ref="A1:C1"/>
    <mergeCell ref="A6:A7"/>
    <mergeCell ref="A30:E32"/>
    <mergeCell ref="J16:N16"/>
    <mergeCell ref="H8:H9"/>
    <mergeCell ref="J23:N23"/>
    <mergeCell ref="J24:N24"/>
    <mergeCell ref="J17:N17"/>
    <mergeCell ref="J18:N18"/>
    <mergeCell ref="H16:H18"/>
    <mergeCell ref="J20:N20"/>
    <mergeCell ref="J21:N21"/>
    <mergeCell ref="H20:H21"/>
    <mergeCell ref="J13:K14"/>
    <mergeCell ref="D18:D19"/>
    <mergeCell ref="A18:A19"/>
    <mergeCell ref="B18:B19"/>
    <mergeCell ref="C18:C19"/>
    <mergeCell ref="E18:E19"/>
    <mergeCell ref="J28:J30"/>
    <mergeCell ref="H36:L38"/>
    <mergeCell ref="J41:L45"/>
    <mergeCell ref="A50:E50"/>
    <mergeCell ref="J55:N55"/>
    <mergeCell ref="H54:H58"/>
    <mergeCell ref="I56:L58"/>
    <mergeCell ref="J54:N54"/>
    <mergeCell ref="A55:E56"/>
    <mergeCell ref="A45:E45"/>
    <mergeCell ref="A40:E41"/>
    <mergeCell ref="A42:E43"/>
    <mergeCell ref="J47:N47"/>
    <mergeCell ref="H47:H49"/>
    <mergeCell ref="I47:I49"/>
    <mergeCell ref="A44:E44"/>
    <mergeCell ref="J40:N40"/>
    <mergeCell ref="H40:H45"/>
    <mergeCell ref="I40:I45"/>
    <mergeCell ref="A46:E49"/>
    <mergeCell ref="L74:M74"/>
    <mergeCell ref="L71:M71"/>
    <mergeCell ref="A51:E52"/>
    <mergeCell ref="I76:J76"/>
    <mergeCell ref="K76:O76"/>
    <mergeCell ref="A53:E54"/>
    <mergeCell ref="L62:N62"/>
    <mergeCell ref="H62:H74"/>
    <mergeCell ref="L63:O68"/>
    <mergeCell ref="L69:O70"/>
    <mergeCell ref="L72:M72"/>
    <mergeCell ref="L73:M73"/>
    <mergeCell ref="I62:K62"/>
    <mergeCell ref="H61:N61"/>
    <mergeCell ref="J51:N51"/>
    <mergeCell ref="H51:H52"/>
    <mergeCell ref="I51:I52"/>
    <mergeCell ref="A57:E57"/>
    <mergeCell ref="A58:E59"/>
    <mergeCell ref="N86:O86"/>
    <mergeCell ref="H84:H86"/>
    <mergeCell ref="I85:L86"/>
    <mergeCell ref="K89:N89"/>
    <mergeCell ref="K90:N90"/>
    <mergeCell ref="H78:H82"/>
    <mergeCell ref="I79:L82"/>
    <mergeCell ref="H94:H95"/>
    <mergeCell ref="J84:O84"/>
    <mergeCell ref="N85:O85"/>
    <mergeCell ref="J78:N78"/>
  </mergeCells>
  <hyperlinks>
    <hyperlink ref="K95" r:id="rId1"/>
    <hyperlink ref="K94" r:id="rId2"/>
    <hyperlink ref="K7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Mario</cp:lastModifiedBy>
  <dcterms:created xsi:type="dcterms:W3CDTF">2021-03-02T08:55:19Z</dcterms:created>
  <dcterms:modified xsi:type="dcterms:W3CDTF">2021-03-29T10:34:43Z</dcterms:modified>
</cp:coreProperties>
</file>